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450" windowWidth="15570" windowHeight="9435" tabRatio="761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F9" i="6" l="1"/>
  <c r="F8" i="6"/>
  <c r="F11" i="5" l="1"/>
  <c r="E5" i="6" l="1"/>
  <c r="F4" i="5" l="1"/>
  <c r="P19" i="15" l="1"/>
  <c r="F6" i="6" l="1"/>
  <c r="P18" i="15" l="1"/>
  <c r="P17" i="15"/>
  <c r="P7" i="15"/>
  <c r="I11" i="15" s="1"/>
  <c r="P6" i="15"/>
  <c r="P5" i="15"/>
  <c r="E11" i="15" s="1"/>
  <c r="P4" i="15"/>
  <c r="F5" i="6"/>
  <c r="G6" i="7" s="1"/>
  <c r="G11" i="15" l="1"/>
  <c r="P8" i="15"/>
  <c r="N14" i="15" s="1"/>
  <c r="P20" i="15"/>
  <c r="C11" i="15" l="1"/>
  <c r="G3" i="7"/>
  <c r="G7" i="7" s="1"/>
  <c r="F8" i="5"/>
  <c r="G9" i="7" l="1"/>
</calcChain>
</file>

<file path=xl/sharedStrings.xml><?xml version="1.0" encoding="utf-8"?>
<sst xmlns="http://schemas.openxmlformats.org/spreadsheetml/2006/main" count="74" uniqueCount="70">
  <si>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</si>
  <si>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</si>
  <si>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</si>
  <si>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</si>
  <si>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</si>
  <si>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</si>
  <si>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</si>
  <si>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</si>
  <si>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</si>
  <si>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</si>
  <si>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</si>
  <si>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</si>
  <si>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</si>
  <si>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</si>
  <si>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</si>
  <si>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</si>
  <si>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</si>
  <si>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</si>
  <si>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</si>
  <si>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</si>
  <si>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</si>
  <si>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</si>
  <si>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</si>
  <si>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</si>
  <si>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</si>
  <si>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</si>
  <si>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</si>
  <si>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</si>
  <si>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</si>
  <si>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</si>
  <si>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</si>
  <si>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</si>
  <si>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</si>
  <si>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</si>
  <si>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</si>
  <si>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</si>
  <si>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</si>
  <si>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</si>
  <si>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</si>
  <si>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</si>
  <si>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</si>
  <si>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</si>
  <si>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</si>
  <si>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</si>
  <si>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</si>
  <si>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</si>
  <si>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</si>
  <si>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</si>
  <si>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</si>
  <si>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(</t>
  </si>
  <si>
    <t>)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</si>
  <si>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</si>
  <si>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</si>
  <si>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</si>
  <si>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</si>
  <si>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Отчет по электроснабжению жилого дома 8 марта, д. 2А за май 2016 г.</t>
  </si>
  <si>
    <t xml:space="preserve">Возмещено по услуге ГВС, Гкал </t>
  </si>
  <si>
    <t>кВт*ч х  Si/9212,3 кв.м. х 3,37 руб.</t>
  </si>
  <si>
    <t>налог УСН</t>
  </si>
  <si>
    <r>
      <t xml:space="preserve">формула 11 - (203)куб.м. х  Si/9212,3кв.м.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203 куб.м</t>
    </r>
  </si>
  <si>
    <t>11098</t>
  </si>
  <si>
    <t>Сашенков А.Ю.</t>
  </si>
  <si>
    <t>с 23.09.2016</t>
  </si>
  <si>
    <t>по 21.10.2016</t>
  </si>
  <si>
    <t>с 20.10.2016</t>
  </si>
  <si>
    <t>по 20.11.2016</t>
  </si>
  <si>
    <t>показаний общего прибора учета тепловой энергии отопления с  01.11.16 г. по 26.11.16г.</t>
  </si>
  <si>
    <t>Расчет платы за коммунальную услуги по гаражу ноябрь  2016 года</t>
  </si>
  <si>
    <t>11879</t>
  </si>
  <si>
    <t>отопление, рубли/мм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</si>
</sst>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-* #,##0.000_р_._-;\-* #,##0.000_р_._-;_-* &quot;-&quot;??_р_._-;_-@_-"/>
    <numFmt numFmtId="170" formatCode="_(* #,##0.00_);_(* \(#,##0.00\);_(* &quot;-&quot;??_);_(@_)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8" fontId="2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165" fontId="5" fillId="0" borderId="0" xfId="1" applyNumberFormat="1" applyFont="1"/>
    <xf numFmtId="165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169" fontId="22" fillId="2" borderId="0" xfId="5" applyNumberFormat="1" applyFont="1" applyFill="1" applyAlignment="1">
      <alignment horizontal="center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70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tabSelected="1" zoomScaleSheetLayoutView="110" workbookViewId="0">
      <pane ySplit="1" topLeftCell="A2" activePane="bottomLeft" state="frozen"/>
      <selection pane="bottomLeft" activeCell="P8" sqref="P8"/>
    </sheetView>
  </sheetViews>
  <sheetFormatPr defaultRowHeight="15" x14ac:dyDescent="0.2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5.5703125" customWidth="1"/>
    <col min="10" max="10" width="1.140625" customWidth="1"/>
    <col min="11" max="11" width="4.28515625" customWidth="1"/>
    <col min="12" max="12" width="14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 x14ac:dyDescent="0.3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0" t="s">
        <v>64</v>
      </c>
      <c r="N1" s="70"/>
      <c r="O1" s="36" t="s">
        <v>65</v>
      </c>
      <c r="P1" s="71"/>
      <c r="Q1" s="54"/>
    </row>
    <row r="2" spans="1:18" ht="30" x14ac:dyDescent="0.25">
      <c r="A2" s="85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 x14ac:dyDescent="0.25">
      <c r="A3" s="83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8" x14ac:dyDescent="0.25">
      <c r="A4" s="88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90"/>
      <c r="L4" s="41">
        <v>3372506</v>
      </c>
      <c r="M4" s="42">
        <v>3428</v>
      </c>
      <c r="N4" s="42">
        <v>3694</v>
      </c>
      <c r="O4" s="42" t="s">
        <v>33</v>
      </c>
      <c r="P4" s="42">
        <f>(N4-M4)*60</f>
        <v>15960</v>
      </c>
    </row>
    <row r="5" spans="1:18" x14ac:dyDescent="0.25">
      <c r="A5" s="88" t="s">
        <v>34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41">
        <v>3372116</v>
      </c>
      <c r="M5" s="42">
        <v>1219</v>
      </c>
      <c r="N5" s="42">
        <v>1397</v>
      </c>
      <c r="O5" s="42" t="s">
        <v>33</v>
      </c>
      <c r="P5" s="42">
        <f>(N5-M5)*60</f>
        <v>10680</v>
      </c>
    </row>
    <row r="6" spans="1:18" x14ac:dyDescent="0.25">
      <c r="A6" s="88" t="s">
        <v>35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41">
        <v>3234145</v>
      </c>
      <c r="M6" s="42">
        <v>85223</v>
      </c>
      <c r="N6" s="42">
        <v>88476</v>
      </c>
      <c r="O6" s="42">
        <v>1</v>
      </c>
      <c r="P6" s="61">
        <f>N6-M6</f>
        <v>3253</v>
      </c>
      <c r="R6" s="69"/>
    </row>
    <row r="7" spans="1:18" x14ac:dyDescent="0.25">
      <c r="A7" s="88" t="s">
        <v>36</v>
      </c>
      <c r="B7" s="89"/>
      <c r="C7" s="89"/>
      <c r="D7" s="89"/>
      <c r="E7" s="89"/>
      <c r="F7" s="89"/>
      <c r="G7" s="89"/>
      <c r="H7" s="89"/>
      <c r="I7" s="89"/>
      <c r="J7" s="89"/>
      <c r="K7" s="90"/>
      <c r="L7" s="41">
        <v>3232979</v>
      </c>
      <c r="M7" s="42">
        <v>88424</v>
      </c>
      <c r="N7" s="42">
        <v>93214</v>
      </c>
      <c r="O7" s="42">
        <v>1</v>
      </c>
      <c r="P7" s="42">
        <f xml:space="preserve"> N7-M7</f>
        <v>4790</v>
      </c>
    </row>
    <row r="8" spans="1:18" x14ac:dyDescent="0.25">
      <c r="A8" s="91" t="s">
        <v>2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76"/>
      <c r="M8" s="77"/>
      <c r="N8" s="77"/>
      <c r="O8" s="78"/>
      <c r="P8" s="43">
        <f>SUM(P4:P7)</f>
        <v>34683</v>
      </c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x14ac:dyDescent="0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</row>
    <row r="11" spans="1:18" x14ac:dyDescent="0.25">
      <c r="A11" s="62" t="s">
        <v>48</v>
      </c>
      <c r="B11" s="58" t="s">
        <v>49</v>
      </c>
      <c r="C11" s="58">
        <f>P8</f>
        <v>34683</v>
      </c>
      <c r="D11" s="58" t="s">
        <v>51</v>
      </c>
      <c r="E11" s="58">
        <f>P5</f>
        <v>10680</v>
      </c>
      <c r="F11" s="58" t="s">
        <v>51</v>
      </c>
      <c r="G11" s="58">
        <f>P4</f>
        <v>15960</v>
      </c>
      <c r="H11" s="58" t="s">
        <v>51</v>
      </c>
      <c r="I11" s="58">
        <f>P7</f>
        <v>4790</v>
      </c>
      <c r="J11" s="58" t="s">
        <v>50</v>
      </c>
      <c r="K11" s="58" t="s">
        <v>57</v>
      </c>
      <c r="L11" s="58"/>
      <c r="M11" s="58"/>
      <c r="N11" s="58"/>
      <c r="O11" s="59"/>
      <c r="P11" s="45"/>
    </row>
    <row r="12" spans="1:18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5"/>
    </row>
    <row r="13" spans="1:18" x14ac:dyDescent="0.25">
      <c r="A13" s="46" t="s">
        <v>52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3">
        <f>(P8-P5-P4-P7)*3.37/9212.3</f>
        <v>1.1899970691358295</v>
      </c>
      <c r="O14" s="49" t="s">
        <v>40</v>
      </c>
      <c r="P14" s="45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79" t="s">
        <v>41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94" t="s">
        <v>42</v>
      </c>
      <c r="B17" s="95"/>
      <c r="C17" s="95"/>
      <c r="D17" s="95"/>
      <c r="E17" s="95"/>
      <c r="F17" s="95"/>
      <c r="G17" s="95"/>
      <c r="H17" s="95"/>
      <c r="I17" s="95"/>
      <c r="J17" s="95"/>
      <c r="K17" s="96"/>
      <c r="L17" s="43">
        <v>3372072</v>
      </c>
      <c r="M17" s="51">
        <v>7308</v>
      </c>
      <c r="N17" s="51">
        <v>7556</v>
      </c>
      <c r="O17" s="51" t="s">
        <v>43</v>
      </c>
      <c r="P17" s="51">
        <f>(N17-M17)*20</f>
        <v>4960</v>
      </c>
    </row>
    <row r="18" spans="1:16" ht="15" customHeight="1" x14ac:dyDescent="0.25">
      <c r="A18" s="94" t="s">
        <v>44</v>
      </c>
      <c r="B18" s="95"/>
      <c r="C18" s="95"/>
      <c r="D18" s="95"/>
      <c r="E18" s="95"/>
      <c r="F18" s="95"/>
      <c r="G18" s="95"/>
      <c r="H18" s="95"/>
      <c r="I18" s="95"/>
      <c r="J18" s="95"/>
      <c r="K18" s="96"/>
      <c r="L18" s="51">
        <v>5042703</v>
      </c>
      <c r="M18" s="51">
        <v>261</v>
      </c>
      <c r="N18" s="51">
        <v>270</v>
      </c>
      <c r="O18" s="51" t="s">
        <v>45</v>
      </c>
      <c r="P18" s="51">
        <f>(N18-M18)*50</f>
        <v>450</v>
      </c>
    </row>
    <row r="19" spans="1:16" ht="15" customHeight="1" x14ac:dyDescent="0.25">
      <c r="A19" s="66" t="s">
        <v>53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51">
        <v>3372350</v>
      </c>
      <c r="M19" s="51">
        <v>8.35</v>
      </c>
      <c r="N19" s="51">
        <v>8.35</v>
      </c>
      <c r="O19" s="51" t="s">
        <v>54</v>
      </c>
      <c r="P19" s="51">
        <f>(N19-M19)*16</f>
        <v>0</v>
      </c>
    </row>
    <row r="20" spans="1:16" x14ac:dyDescent="0.25">
      <c r="A20" s="97" t="s">
        <v>2</v>
      </c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67"/>
      <c r="M20" s="68"/>
      <c r="N20" s="68"/>
      <c r="O20" s="68"/>
      <c r="P20" s="52">
        <f>P17+P18</f>
        <v>5410</v>
      </c>
    </row>
    <row r="21" spans="1:16" x14ac:dyDescent="0.25">
      <c r="L21" s="50"/>
    </row>
    <row r="22" spans="1:16" ht="20.25" x14ac:dyDescent="0.3">
      <c r="L22" s="50"/>
      <c r="N22" s="53"/>
    </row>
    <row r="24" spans="1:16" x14ac:dyDescent="0.25">
      <c r="A24" s="82" t="s">
        <v>47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60"/>
      <c r="P24" s="75" t="s">
        <v>61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workbookViewId="0">
      <selection activeCell="F11" sqref="F11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</cols>
  <sheetData>
    <row r="1" spans="1:6" x14ac:dyDescent="0.25">
      <c r="A1" s="101" t="s">
        <v>5</v>
      </c>
      <c r="B1" s="101"/>
      <c r="C1" s="101"/>
      <c r="D1" s="72" t="s">
        <v>62</v>
      </c>
      <c r="E1" s="1"/>
      <c r="F1" s="73" t="s">
        <v>63</v>
      </c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60</v>
      </c>
      <c r="E4" s="7" t="s">
        <v>68</v>
      </c>
      <c r="F4" s="8">
        <f>E4-D4</f>
        <v>781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ht="28.5" x14ac:dyDescent="0.25">
      <c r="A7" s="16" t="s">
        <v>10</v>
      </c>
      <c r="B7" s="17"/>
      <c r="C7" s="17"/>
      <c r="D7" s="18"/>
      <c r="E7" s="18"/>
      <c r="F7" s="8">
        <v>728</v>
      </c>
    </row>
    <row r="8" spans="1:6" ht="21" x14ac:dyDescent="0.25">
      <c r="A8" s="16" t="s">
        <v>11</v>
      </c>
      <c r="B8" s="17"/>
      <c r="C8" s="17"/>
      <c r="D8" s="18"/>
      <c r="E8" s="18"/>
      <c r="F8" s="57">
        <f>F4-F7</f>
        <v>53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100" t="s">
        <v>12</v>
      </c>
      <c r="B10" s="100"/>
      <c r="C10" s="100"/>
      <c r="D10" s="100"/>
      <c r="E10" s="100"/>
      <c r="F10" s="20"/>
    </row>
    <row r="11" spans="1:6" ht="69" customHeight="1" x14ac:dyDescent="0.3">
      <c r="A11" s="100" t="s">
        <v>59</v>
      </c>
      <c r="B11" s="100"/>
      <c r="C11" s="100"/>
      <c r="D11" s="100"/>
      <c r="E11" s="100"/>
      <c r="F11" s="21">
        <f>53/9212.3*(22.93+27.48)</f>
        <v>0.2900176937355492</v>
      </c>
    </row>
    <row r="12" spans="1:6" ht="17.25" customHeight="1" x14ac:dyDescent="0.25"/>
  </sheetData>
  <mergeCells count="3">
    <mergeCell ref="A10:E10"/>
    <mergeCell ref="A11:E11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workbookViewId="0">
      <selection activeCell="E12" sqref="E12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 x14ac:dyDescent="0.3">
      <c r="A1" s="102" t="s">
        <v>13</v>
      </c>
      <c r="B1" s="102"/>
      <c r="C1" s="102"/>
      <c r="D1" s="102"/>
      <c r="E1" s="102"/>
    </row>
    <row r="2" spans="1:6" ht="18.75" x14ac:dyDescent="0.3">
      <c r="A2" s="103" t="s">
        <v>66</v>
      </c>
      <c r="B2" s="103"/>
      <c r="C2" s="103"/>
      <c r="D2" s="103"/>
      <c r="E2" s="103"/>
      <c r="F2" s="103"/>
    </row>
    <row r="3" spans="1:6" ht="15.75" x14ac:dyDescent="0.25">
      <c r="A3" s="22"/>
      <c r="B3" s="23"/>
      <c r="C3" s="22"/>
      <c r="D3" s="22"/>
      <c r="E3" s="22"/>
    </row>
    <row r="4" spans="1:6" ht="63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1915.14</v>
      </c>
      <c r="D5" s="29">
        <v>2109.63</v>
      </c>
      <c r="E5" s="29">
        <f>D5-C5</f>
        <v>194.49</v>
      </c>
      <c r="F5" s="29">
        <f>E5</f>
        <v>194.49</v>
      </c>
    </row>
    <row r="6" spans="1:6" ht="32.25" customHeight="1" x14ac:dyDescent="0.25">
      <c r="A6" s="105" t="s">
        <v>46</v>
      </c>
      <c r="B6" s="105"/>
      <c r="C6" s="105"/>
      <c r="D6" s="105"/>
      <c r="E6" s="105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4" t="s">
        <v>20</v>
      </c>
      <c r="B8" s="104"/>
      <c r="C8" s="104"/>
      <c r="D8" s="104"/>
      <c r="E8" s="31"/>
      <c r="F8" s="32">
        <f>(F5*1991.37+'Сводный отчетЭЭ'!P7*3.37-(200+20*3.6)*101.56)/F6</f>
        <v>36.017704235070873</v>
      </c>
    </row>
    <row r="9" spans="1:6" ht="18.75" x14ac:dyDescent="0.3">
      <c r="E9" s="74" t="s">
        <v>56</v>
      </c>
      <c r="F9" s="33">
        <f>272*101.56/1991.37</f>
        <v>13.872017756619815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"/>
  <sheetViews>
    <sheetView workbookViewId="0">
      <selection activeCell="G9" sqref="G9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07" t="s">
        <v>67</v>
      </c>
      <c r="B1" s="108"/>
      <c r="C1" s="108"/>
      <c r="D1" s="108"/>
      <c r="E1" s="108"/>
      <c r="F1" s="108"/>
      <c r="G1" s="108"/>
      <c r="H1" s="108"/>
    </row>
    <row r="3" spans="1:9" ht="18.75" x14ac:dyDescent="0.3">
      <c r="A3" s="106" t="s">
        <v>21</v>
      </c>
      <c r="B3" s="106"/>
      <c r="C3" s="106"/>
      <c r="D3" s="106"/>
      <c r="E3" s="106"/>
      <c r="F3" s="33"/>
      <c r="G3" s="34">
        <f>'Сводный отчетЭЭ'!P20</f>
        <v>5410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15</v>
      </c>
    </row>
    <row r="6" spans="1:9" x14ac:dyDescent="0.25">
      <c r="A6" t="s">
        <v>69</v>
      </c>
      <c r="G6" s="56">
        <f>Отопление!F8*1222/134</f>
        <v>328.45995951684034</v>
      </c>
    </row>
    <row r="7" spans="1:9" x14ac:dyDescent="0.25">
      <c r="A7" t="s">
        <v>58</v>
      </c>
      <c r="G7" s="56">
        <f>(G3*3.37+G5*(22.93+27.48)+3*525+G6+G4*525)*0.064</f>
        <v>1437.8438374090779</v>
      </c>
    </row>
    <row r="9" spans="1:9" ht="21" x14ac:dyDescent="0.35">
      <c r="A9" t="s">
        <v>24</v>
      </c>
      <c r="G9" s="35">
        <f>(G3*3.37+G4*525+G5*(22.93+27.48)+G7)/134+G6+(693.36+491.32+512.98+441.63+153.77+161.04+206.52+299.07)*0.064/4</f>
        <v>539.99928188556487</v>
      </c>
      <c r="H9" s="55"/>
      <c r="I9" s="5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2016-09-19T07:09:24Z</cp:lastPrinted>
  <dcterms:created xsi:type="dcterms:W3CDTF">2015-09-15T11:53:49Z</dcterms:created>
  <dcterms:modified xsi:type="dcterms:W3CDTF">2016-12-16T09:52:07Z</dcterms:modified>
</cp:coreProperties>
</file>