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15570" windowHeight="3885" tabRatio="944" activeTab="3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22" r:id="rId4"/>
  </sheets>
  <definedNames>
    <definedName name="_xlnm.Print_Area" localSheetId="2">Отопление!$A$1:$F$10</definedName>
    <definedName name="_xlnm.Print_Area" localSheetId="0">'Сводный отчетЭЭ'!$A$1:$U$24</definedName>
  </definedNames>
  <calcPr calcId="145621"/>
</workbook>
</file>

<file path=xl/calcChain.xml><?xml version="1.0" encoding="utf-8"?>
<calcChain xmlns="http://schemas.openxmlformats.org/spreadsheetml/2006/main">
  <c r="P36" i="15" l="1"/>
  <c r="D15" i="5"/>
  <c r="F10" i="6"/>
  <c r="F9" i="6"/>
  <c r="U14" i="15" l="1"/>
  <c r="I29" i="15" l="1"/>
  <c r="F12" i="5" l="1"/>
  <c r="U15" i="15" l="1"/>
  <c r="U12" i="15" l="1"/>
  <c r="E6" i="6" l="1"/>
  <c r="U17" i="15" l="1"/>
  <c r="F7" i="6" l="1"/>
  <c r="U16" i="15" l="1"/>
  <c r="E21" i="15" s="1"/>
  <c r="U18" i="15"/>
  <c r="U9" i="15"/>
  <c r="U10" i="15"/>
  <c r="U8" i="15"/>
  <c r="U6" i="15"/>
  <c r="U7" i="15"/>
  <c r="U13" i="15"/>
  <c r="U4" i="15"/>
  <c r="C21" i="15" s="1"/>
  <c r="U5" i="15"/>
  <c r="P21" i="15" l="1"/>
  <c r="G3" i="22"/>
  <c r="G7" i="22" s="1"/>
  <c r="G6" i="22" l="1"/>
  <c r="G9" i="22" s="1"/>
  <c r="F4" i="5" l="1"/>
  <c r="F9" i="5" l="1"/>
</calcChain>
</file>

<file path=xl/sharedStrings.xml><?xml version="1.0" encoding="utf-8"?>
<sst xmlns="http://schemas.openxmlformats.org/spreadsheetml/2006/main" count="123" uniqueCount="94">
  <si>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</si>
  <si>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</si>
  <si>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</si>
  <si>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</si>
  <si>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</si>
  <si>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</si>
  <si>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</si>
  <si>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</si>
  <si>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</si>
  <si>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</si>
  <si>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</si>
  <si>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</si>
  <si>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</si>
  <si>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</si>
  <si>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</si>
  <si>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</si>
  <si>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</si>
  <si>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</si>
  <si>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</si>
  <si>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</si>
  <si>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</si>
  <si>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</si>
  <si>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</si>
  <si>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</si>
  <si>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</si>
  <si>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Год выпуска</t>
  </si>
  <si>
    <t>формулы 10 и 12</t>
  </si>
  <si>
    <t>(</t>
  </si>
  <si>
    <t>-</t>
  </si>
  <si>
    <t>)</t>
  </si>
  <si>
    <t>Место установки</t>
  </si>
  <si>
    <t>Показание ТЭ (текущее),Гкал</t>
  </si>
  <si>
    <t>Расход ТЭ (текущий),Гкал</t>
  </si>
  <si>
    <t>Расход ТЭ              (тек. и скор.),    Гкал</t>
  </si>
  <si>
    <t>Ввод № 2</t>
  </si>
  <si>
    <t>Ввод № 1</t>
  </si>
  <si>
    <t>Квартирный стояк 2.1 и 2.2</t>
  </si>
  <si>
    <t>Квартирный стояк 1.1 и 1.2</t>
  </si>
  <si>
    <t>Рабочее осв., насос ХВС, чердак, подвал</t>
  </si>
  <si>
    <t>00772-13</t>
  </si>
  <si>
    <t>500/5</t>
  </si>
  <si>
    <t>250/5</t>
  </si>
  <si>
    <t>75/5</t>
  </si>
  <si>
    <t>ДУ , ПД</t>
  </si>
  <si>
    <t>150/5</t>
  </si>
  <si>
    <t>Лифты, аварийное осв., ИТП</t>
  </si>
  <si>
    <t>Вентиляция</t>
  </si>
  <si>
    <t>Рабочая группа, стилобат, гараж</t>
  </si>
  <si>
    <t>ИПУ стилобат</t>
  </si>
  <si>
    <t xml:space="preserve">ВРУ -1 жилого дома </t>
  </si>
  <si>
    <t xml:space="preserve">ВРУ-1 жилого дома </t>
  </si>
  <si>
    <t xml:space="preserve">ВРУ  - 1  жилого дома </t>
  </si>
  <si>
    <t xml:space="preserve">ВРУ  - 2  жилого дома </t>
  </si>
  <si>
    <t>ав.осв.гар, стил.лифт, пож.</t>
  </si>
  <si>
    <t>Площадь помещений многоквартирного дома, находящихся в собственности, кв.м.</t>
  </si>
  <si>
    <t>12 377,9 кв.м. площадь всех помещений потребителей в многоквартирном доме.</t>
  </si>
  <si>
    <t>Жилой дом ул.Академика Грушина, д. 8</t>
  </si>
  <si>
    <t>Примечание: необходимо снять ОДН электроснабжения по офисам за март</t>
  </si>
  <si>
    <r>
      <t xml:space="preserve"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</si>
  <si>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ЖИЛЫЕ И НЕЖИЛЫЕ  ПОМЕЩЕНИЯ</t>
  </si>
  <si>
    <t xml:space="preserve">Возмещено по услуге ГВС, Гкал </t>
  </si>
  <si>
    <t>кВт*ч х  Si/11010,6кв.м. х 3,37 руб.</t>
  </si>
  <si>
    <r>
      <t xml:space="preserve">формула 11 - ()куб.м. х  Si/11010,6 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88 куб.м.</t>
    </r>
  </si>
  <si>
    <t>Осветительные установки</t>
  </si>
  <si>
    <t>Группы оборудования</t>
  </si>
  <si>
    <t>Лифты</t>
  </si>
  <si>
    <t>Насосы ХВС</t>
  </si>
  <si>
    <t>Насосы ГВС</t>
  </si>
  <si>
    <t xml:space="preserve">Насосы отопления </t>
  </si>
  <si>
    <t>Другое оборудование</t>
  </si>
  <si>
    <t>норматив кВт/ч на м2</t>
  </si>
  <si>
    <t>для летнего периода</t>
  </si>
  <si>
    <t>площать помещений общего имущества</t>
  </si>
  <si>
    <t>по приложению №3 к распоряжению Министерства ЖКХ Моск.обл. 09.12.2014  №162 -РВ</t>
  </si>
  <si>
    <t>ОПУ</t>
  </si>
  <si>
    <t>Стилобат ОПУ</t>
  </si>
  <si>
    <t>Стилобат - офисы неисправен</t>
  </si>
  <si>
    <t>Стилобат - офисы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</si>
  <si>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</si>
  <si>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</si>
  <si>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</si>
  <si>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</si>
  <si>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отопление, рубли/мм.</t>
  </si>
  <si>
    <t>налог УСН 6%, рубли</t>
  </si>
  <si>
    <t>Неучтенное  водопотребление нарастающим итогом за:</t>
  </si>
  <si>
    <t>9716</t>
  </si>
  <si>
    <t>ноябрь</t>
  </si>
  <si>
    <t>Отчет по электроснабжению жилого дома ул.Академика Грушина, д. 8 за Декабрь 2016г.</t>
  </si>
  <si>
    <t>Декабрь</t>
  </si>
  <si>
    <t>2016 г.</t>
  </si>
  <si>
    <t>Расчет платы за коммунальную услуги по гаражу Декабрь  2016 года</t>
  </si>
  <si>
    <t>10887</t>
  </si>
  <si>
    <t>показаний общего прибора учета тепловой энергии с 28.11.2016 по 22.12. 2016 г.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</si>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</sst>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9" formatCode="_-* #,##0.00\ _р_._-;\-* #,##0.00\ _р_._-;_-* &quot;-&quot;??\ 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2"/>
      <name val="Cambria"/>
      <family val="1"/>
      <charset val="204"/>
      <scheme val="major"/>
    </font>
    <font>
      <b/>
      <i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65">
    <xf numFmtId="0" fontId="0" fillId="0" borderId="0" xfId="0"/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/>
    </xf>
    <xf numFmtId="1" fontId="11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165" fontId="15" fillId="0" borderId="0" xfId="1" applyNumberFormat="1" applyFont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2" applyNumberFormat="1" applyFont="1" applyBorder="1" applyAlignment="1" applyProtection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65" fontId="18" fillId="0" borderId="0" xfId="1" applyNumberFormat="1" applyFont="1" applyBorder="1" applyProtection="1"/>
    <xf numFmtId="165" fontId="13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19" fillId="0" borderId="0" xfId="0" applyFont="1"/>
    <xf numFmtId="0" fontId="22" fillId="0" borderId="0" xfId="0" applyFont="1"/>
    <xf numFmtId="0" fontId="23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vertical="center"/>
    </xf>
    <xf numFmtId="1" fontId="20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4" applyFont="1" applyAlignment="1">
      <alignment horizontal="right" vertical="center"/>
    </xf>
    <xf numFmtId="0" fontId="3" fillId="0" borderId="0" xfId="4" applyFont="1" applyAlignment="1">
      <alignment horizontal="left" vertical="center"/>
    </xf>
    <xf numFmtId="0" fontId="15" fillId="0" borderId="1" xfId="1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7" fillId="4" borderId="1" xfId="2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" fontId="19" fillId="6" borderId="3" xfId="0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/>
    </xf>
    <xf numFmtId="0" fontId="26" fillId="0" borderId="0" xfId="4" applyFont="1" applyAlignment="1">
      <alignment horizontal="right" vertical="center"/>
    </xf>
    <xf numFmtId="0" fontId="26" fillId="0" borderId="0" xfId="4" applyFont="1" applyAlignment="1">
      <alignment horizontal="center" vertical="center"/>
    </xf>
    <xf numFmtId="1" fontId="26" fillId="0" borderId="0" xfId="4" applyNumberFormat="1" applyFont="1" applyAlignment="1">
      <alignment horizontal="center" vertical="center"/>
    </xf>
    <xf numFmtId="0" fontId="27" fillId="0" borderId="0" xfId="0" applyFont="1"/>
    <xf numFmtId="0" fontId="19" fillId="8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2" borderId="0" xfId="0" applyFont="1" applyFill="1" applyBorder="1"/>
    <xf numFmtId="1" fontId="26" fillId="6" borderId="0" xfId="4" applyNumberFormat="1" applyFont="1" applyFill="1" applyAlignment="1">
      <alignment horizontal="center" vertical="center"/>
    </xf>
    <xf numFmtId="1" fontId="26" fillId="7" borderId="0" xfId="7" applyNumberFormat="1" applyFont="1" applyFill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9" fillId="2" borderId="0" xfId="0" applyFont="1" applyFill="1" applyBorder="1" applyAlignment="1">
      <alignment horizontal="right" vertical="center"/>
    </xf>
    <xf numFmtId="16" fontId="8" fillId="0" borderId="0" xfId="0" applyNumberFormat="1" applyFont="1" applyAlignment="1">
      <alignment horizontal="center"/>
    </xf>
    <xf numFmtId="165" fontId="13" fillId="0" borderId="0" xfId="1" applyNumberFormat="1" applyFont="1" applyBorder="1"/>
    <xf numFmtId="1" fontId="26" fillId="0" borderId="0" xfId="7" applyNumberFormat="1" applyFont="1" applyFill="1" applyAlignment="1">
      <alignment horizontal="center" vertical="center"/>
    </xf>
    <xf numFmtId="1" fontId="26" fillId="0" borderId="0" xfId="4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2" fontId="28" fillId="0" borderId="0" xfId="0" applyNumberFormat="1" applyFont="1"/>
    <xf numFmtId="0" fontId="0" fillId="0" borderId="0" xfId="0" applyFill="1" applyAlignment="1">
      <alignment vertical="center"/>
    </xf>
    <xf numFmtId="0" fontId="19" fillId="0" borderId="1" xfId="0" applyFont="1" applyBorder="1" applyAlignment="1">
      <alignment wrapText="1"/>
    </xf>
    <xf numFmtId="0" fontId="0" fillId="0" borderId="1" xfId="0" applyBorder="1"/>
    <xf numFmtId="0" fontId="3" fillId="0" borderId="0" xfId="4" applyFont="1" applyFill="1" applyAlignment="1">
      <alignment horizontal="left" vertical="center"/>
    </xf>
    <xf numFmtId="0" fontId="0" fillId="0" borderId="0" xfId="0" applyFill="1"/>
    <xf numFmtId="0" fontId="19" fillId="0" borderId="4" xfId="0" applyFont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 vertical="center"/>
    </xf>
    <xf numFmtId="4" fontId="3" fillId="4" borderId="12" xfId="5" applyNumberFormat="1" applyFont="1" applyFill="1" applyBorder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0" fontId="32" fillId="3" borderId="1" xfId="0" applyFont="1" applyFill="1" applyBorder="1"/>
    <xf numFmtId="0" fontId="30" fillId="2" borderId="0" xfId="6" applyFont="1" applyFill="1" applyBorder="1" applyAlignment="1">
      <alignment horizontal="center" vertical="center"/>
    </xf>
    <xf numFmtId="165" fontId="5" fillId="0" borderId="0" xfId="1" applyNumberFormat="1" applyFont="1"/>
    <xf numFmtId="164" fontId="0" fillId="0" borderId="0" xfId="1" applyFont="1"/>
    <xf numFmtId="165" fontId="11" fillId="0" borderId="0" xfId="1" applyNumberFormat="1" applyFont="1"/>
    <xf numFmtId="0" fontId="0" fillId="0" borderId="0" xfId="0" applyAlignment="1"/>
    <xf numFmtId="0" fontId="19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1" fontId="0" fillId="3" borderId="1" xfId="0" applyNumberFormat="1" applyFill="1" applyBorder="1"/>
    <xf numFmtId="0" fontId="32" fillId="3" borderId="1" xfId="0" applyFont="1" applyFill="1" applyBorder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1" fillId="2" borderId="0" xfId="6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</cellXfs>
  <cellStyles count="13">
    <cellStyle name="TableStyleLight1" xfId="2"/>
    <cellStyle name="Обычный" xfId="0" builtinId="0"/>
    <cellStyle name="Обычный 2" xfId="6"/>
    <cellStyle name="Обычный 2 2" xfId="11"/>
    <cellStyle name="Обычный 3" xfId="4"/>
    <cellStyle name="Обычный 3 2" xfId="10"/>
    <cellStyle name="Обычный 4" xfId="3"/>
    <cellStyle name="Обычный 5" xfId="8"/>
    <cellStyle name="Процентный" xfId="7" builtinId="5"/>
    <cellStyle name="Процентный 2" xfId="12"/>
    <cellStyle name="Финансовый" xfId="1" builtinId="3"/>
    <cellStyle name="Финансовый 2" xfId="5"/>
    <cellStyle name="Финансовый 3" xfId="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6"/>
  <sheetViews>
    <sheetView zoomScale="90" zoomScaleNormal="90" zoomScaleSheetLayoutView="100" workbookViewId="0">
      <selection activeCell="I21" sqref="I21"/>
    </sheetView>
  </sheetViews>
  <sheetFormatPr defaultRowHeight="15" x14ac:dyDescent="0.25"/>
  <cols>
    <col min="1" max="1" width="18.7109375" customWidth="1"/>
    <col min="2" max="2" width="1.140625" customWidth="1"/>
    <col min="3" max="3" width="7.42578125" customWidth="1"/>
    <col min="4" max="4" width="1.42578125" customWidth="1"/>
    <col min="5" max="5" width="7.42578125" customWidth="1"/>
    <col min="6" max="6" width="1.140625" customWidth="1"/>
    <col min="7" max="7" width="7.42578125" customWidth="1"/>
    <col min="8" max="8" width="1.42578125" customWidth="1"/>
    <col min="9" max="9" width="8.28515625" customWidth="1"/>
    <col min="10" max="10" width="1.140625" customWidth="1"/>
    <col min="11" max="11" width="6.42578125" customWidth="1"/>
    <col min="12" max="12" width="5.5703125" customWidth="1"/>
    <col min="13" max="13" width="5.7109375" customWidth="1"/>
    <col min="14" max="14" width="8.42578125" customWidth="1"/>
    <col min="15" max="15" width="8.140625" customWidth="1"/>
    <col min="16" max="16" width="8.5703125" customWidth="1"/>
    <col min="17" max="17" width="20.85546875" customWidth="1"/>
    <col min="18" max="18" width="7.85546875" customWidth="1"/>
    <col min="19" max="19" width="11.7109375" customWidth="1"/>
    <col min="20" max="20" width="11.42578125" customWidth="1"/>
    <col min="21" max="21" width="13.7109375" customWidth="1"/>
    <col min="22" max="22" width="28.28515625" customWidth="1"/>
    <col min="23" max="23" width="18.28515625" customWidth="1"/>
    <col min="24" max="24" width="17.85546875" customWidth="1"/>
    <col min="25" max="25" width="9.85546875" customWidth="1"/>
  </cols>
  <sheetData>
    <row r="1" spans="1:24" ht="18.75" x14ac:dyDescent="0.3">
      <c r="A1" s="131" t="s">
        <v>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35"/>
    </row>
    <row r="2" spans="1:24" ht="45" customHeight="1" x14ac:dyDescent="0.25">
      <c r="A2" s="44" t="s">
        <v>30</v>
      </c>
      <c r="B2" s="119" t="s">
        <v>14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  <c r="O2" s="25" t="s">
        <v>25</v>
      </c>
      <c r="P2" s="25" t="s">
        <v>1</v>
      </c>
      <c r="Q2" s="25" t="s">
        <v>15</v>
      </c>
      <c r="R2" s="25" t="s">
        <v>18</v>
      </c>
      <c r="S2" s="25" t="s">
        <v>16</v>
      </c>
      <c r="T2" s="25" t="s">
        <v>17</v>
      </c>
      <c r="U2" s="25" t="s">
        <v>19</v>
      </c>
      <c r="W2" s="54"/>
      <c r="X2" s="54"/>
    </row>
    <row r="3" spans="1:24" x14ac:dyDescent="0.25">
      <c r="A3" s="132" t="s">
        <v>51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4" x14ac:dyDescent="0.25">
      <c r="A4" s="26" t="s">
        <v>50</v>
      </c>
      <c r="B4" s="135" t="s">
        <v>35</v>
      </c>
      <c r="C4" s="135"/>
      <c r="D4" s="135"/>
      <c r="E4" s="135"/>
      <c r="F4" s="135"/>
      <c r="G4" s="135"/>
      <c r="H4" s="135"/>
      <c r="I4" s="135"/>
      <c r="J4" s="125" t="s">
        <v>74</v>
      </c>
      <c r="K4" s="125"/>
      <c r="L4" s="125"/>
      <c r="M4" s="125"/>
      <c r="N4" s="125"/>
      <c r="O4" s="28">
        <v>2014</v>
      </c>
      <c r="P4" s="43">
        <v>2024</v>
      </c>
      <c r="Q4" s="74">
        <v>3492579</v>
      </c>
      <c r="R4" s="27" t="s">
        <v>40</v>
      </c>
      <c r="S4" s="104">
        <v>2218</v>
      </c>
      <c r="T4" s="104">
        <v>2351</v>
      </c>
      <c r="U4" s="55">
        <f>(T4-S4)*100</f>
        <v>13300</v>
      </c>
      <c r="W4" s="1"/>
      <c r="X4" s="1"/>
    </row>
    <row r="5" spans="1:24" x14ac:dyDescent="0.25">
      <c r="A5" s="50" t="s">
        <v>49</v>
      </c>
      <c r="B5" s="134" t="s">
        <v>34</v>
      </c>
      <c r="C5" s="134"/>
      <c r="D5" s="134"/>
      <c r="E5" s="134"/>
      <c r="F5" s="134"/>
      <c r="G5" s="134"/>
      <c r="H5" s="134"/>
      <c r="I5" s="134"/>
      <c r="J5" s="118" t="s">
        <v>74</v>
      </c>
      <c r="K5" s="118"/>
      <c r="L5" s="118"/>
      <c r="M5" s="118"/>
      <c r="N5" s="118"/>
      <c r="O5" s="52">
        <v>2014</v>
      </c>
      <c r="P5" s="53">
        <v>2024</v>
      </c>
      <c r="Q5" s="73">
        <v>3494906</v>
      </c>
      <c r="R5" s="51" t="s">
        <v>40</v>
      </c>
      <c r="S5" s="115">
        <v>203</v>
      </c>
      <c r="T5" s="106">
        <v>281</v>
      </c>
      <c r="U5" s="56">
        <f>(T5-S5)*100</f>
        <v>7800</v>
      </c>
      <c r="W5" s="1"/>
      <c r="X5" s="1"/>
    </row>
    <row r="6" spans="1:24" x14ac:dyDescent="0.25">
      <c r="A6" s="50" t="s">
        <v>20</v>
      </c>
      <c r="B6" s="122" t="s">
        <v>37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O6" s="51"/>
      <c r="P6" s="51"/>
      <c r="Q6" s="73">
        <v>3494801</v>
      </c>
      <c r="R6" s="51" t="s">
        <v>41</v>
      </c>
      <c r="S6" s="114">
        <v>1897</v>
      </c>
      <c r="T6" s="105">
        <v>2045</v>
      </c>
      <c r="U6" s="57">
        <f>(T6-S6)*50</f>
        <v>7400</v>
      </c>
    </row>
    <row r="7" spans="1:24" x14ac:dyDescent="0.25">
      <c r="A7" s="50" t="s">
        <v>20</v>
      </c>
      <c r="B7" s="122" t="s">
        <v>36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O7" s="51"/>
      <c r="P7" s="51"/>
      <c r="Q7" s="73">
        <v>3494877</v>
      </c>
      <c r="R7" s="51" t="s">
        <v>41</v>
      </c>
      <c r="S7" s="114">
        <v>1341</v>
      </c>
      <c r="T7" s="105">
        <v>1498</v>
      </c>
      <c r="U7" s="57">
        <f>(T7-S7)*50</f>
        <v>7850</v>
      </c>
    </row>
    <row r="8" spans="1:24" x14ac:dyDescent="0.25">
      <c r="A8" s="50" t="s">
        <v>20</v>
      </c>
      <c r="B8" s="122" t="s">
        <v>38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/>
      <c r="O8" s="51"/>
      <c r="P8" s="51"/>
      <c r="Q8" s="73">
        <v>3494485</v>
      </c>
      <c r="R8" s="51" t="s">
        <v>42</v>
      </c>
      <c r="S8" s="114">
        <v>910</v>
      </c>
      <c r="T8" s="105">
        <v>965</v>
      </c>
      <c r="U8" s="66">
        <f>(T8-S8)*15</f>
        <v>825</v>
      </c>
    </row>
    <row r="9" spans="1:24" x14ac:dyDescent="0.25">
      <c r="A9" s="50" t="s">
        <v>20</v>
      </c>
      <c r="B9" s="122" t="s">
        <v>45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  <c r="O9" s="52">
        <v>2014</v>
      </c>
      <c r="P9" s="53">
        <v>2024</v>
      </c>
      <c r="Q9" s="73">
        <v>3494509</v>
      </c>
      <c r="R9" s="51" t="s">
        <v>44</v>
      </c>
      <c r="S9" s="114">
        <v>2178</v>
      </c>
      <c r="T9" s="105">
        <v>2345</v>
      </c>
      <c r="U9" s="66">
        <f>(T9-S9)*30</f>
        <v>5010</v>
      </c>
      <c r="W9" s="1"/>
    </row>
    <row r="10" spans="1:24" x14ac:dyDescent="0.25">
      <c r="A10" s="50" t="s">
        <v>20</v>
      </c>
      <c r="B10" s="127" t="s">
        <v>43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9"/>
      <c r="O10" s="51"/>
      <c r="P10" s="51"/>
      <c r="Q10" s="73">
        <v>3494409</v>
      </c>
      <c r="R10" s="51" t="s">
        <v>44</v>
      </c>
      <c r="S10" s="114">
        <v>2.12</v>
      </c>
      <c r="T10" s="105">
        <v>2.12</v>
      </c>
      <c r="U10" s="66">
        <f>(T10-S10)*30</f>
        <v>0</v>
      </c>
      <c r="W10" s="1"/>
    </row>
    <row r="11" spans="1:24" x14ac:dyDescent="0.25">
      <c r="A11" s="136" t="s">
        <v>52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W11" s="1"/>
    </row>
    <row r="12" spans="1:24" x14ac:dyDescent="0.25">
      <c r="A12" s="50" t="s">
        <v>20</v>
      </c>
      <c r="B12" s="134" t="s">
        <v>35</v>
      </c>
      <c r="C12" s="134"/>
      <c r="D12" s="134"/>
      <c r="E12" s="134"/>
      <c r="F12" s="134"/>
      <c r="G12" s="134"/>
      <c r="H12" s="134"/>
      <c r="I12" s="134"/>
      <c r="J12" s="126" t="s">
        <v>75</v>
      </c>
      <c r="K12" s="126"/>
      <c r="L12" s="126"/>
      <c r="M12" s="126"/>
      <c r="N12" s="126"/>
      <c r="O12" s="52">
        <v>2014</v>
      </c>
      <c r="P12" s="53">
        <v>2024</v>
      </c>
      <c r="Q12" s="74">
        <v>3494834</v>
      </c>
      <c r="R12" s="51" t="s">
        <v>41</v>
      </c>
      <c r="S12" s="116">
        <v>3454</v>
      </c>
      <c r="T12" s="108">
        <v>3915</v>
      </c>
      <c r="U12" s="70">
        <f>(T12-S12)*50</f>
        <v>23050</v>
      </c>
    </row>
    <row r="13" spans="1:24" x14ac:dyDescent="0.25">
      <c r="A13" s="50" t="s">
        <v>20</v>
      </c>
      <c r="B13" s="126" t="s">
        <v>34</v>
      </c>
      <c r="C13" s="126"/>
      <c r="D13" s="126"/>
      <c r="E13" s="126"/>
      <c r="F13" s="126"/>
      <c r="G13" s="126"/>
      <c r="H13" s="126"/>
      <c r="I13" s="126"/>
      <c r="J13" s="126" t="s">
        <v>75</v>
      </c>
      <c r="K13" s="126"/>
      <c r="L13" s="126"/>
      <c r="M13" s="126"/>
      <c r="N13" s="126"/>
      <c r="O13" s="52">
        <v>2014</v>
      </c>
      <c r="P13" s="53">
        <v>2024</v>
      </c>
      <c r="Q13" s="74">
        <v>3494774</v>
      </c>
      <c r="R13" s="51" t="s">
        <v>41</v>
      </c>
      <c r="S13" s="116">
        <v>36</v>
      </c>
      <c r="T13" s="108">
        <v>57</v>
      </c>
      <c r="U13" s="70">
        <f>(T13-S13)*50</f>
        <v>1050</v>
      </c>
    </row>
    <row r="14" spans="1:24" ht="13.5" customHeight="1" x14ac:dyDescent="0.25">
      <c r="A14" s="50" t="s">
        <v>20</v>
      </c>
      <c r="B14" s="122" t="s">
        <v>76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4"/>
      <c r="O14" s="114">
        <v>2013</v>
      </c>
      <c r="P14" s="114">
        <v>2023</v>
      </c>
      <c r="Q14" s="117">
        <v>3494951</v>
      </c>
      <c r="R14" s="114" t="s">
        <v>44</v>
      </c>
      <c r="S14" s="114">
        <v>2120</v>
      </c>
      <c r="T14" s="114">
        <v>2725</v>
      </c>
      <c r="U14" s="66">
        <f>(T14-S14)*30</f>
        <v>18150</v>
      </c>
      <c r="V14" s="112"/>
    </row>
    <row r="15" spans="1:24" x14ac:dyDescent="0.25">
      <c r="A15" s="50" t="s">
        <v>20</v>
      </c>
      <c r="B15" s="122" t="s">
        <v>77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4"/>
      <c r="O15" s="51"/>
      <c r="P15" s="51"/>
      <c r="Q15" s="73">
        <v>3494363</v>
      </c>
      <c r="R15" s="51" t="s">
        <v>42</v>
      </c>
      <c r="S15" s="114">
        <v>94</v>
      </c>
      <c r="T15" s="107">
        <v>94</v>
      </c>
      <c r="U15" s="64">
        <f>(T15-S15)*15</f>
        <v>0</v>
      </c>
    </row>
    <row r="16" spans="1:24" x14ac:dyDescent="0.25">
      <c r="A16" s="50" t="s">
        <v>20</v>
      </c>
      <c r="B16" s="122" t="s">
        <v>47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4"/>
      <c r="O16" s="51"/>
      <c r="P16" s="51"/>
      <c r="Q16" s="73">
        <v>3494853</v>
      </c>
      <c r="R16" s="51" t="s">
        <v>44</v>
      </c>
      <c r="S16" s="114">
        <v>415</v>
      </c>
      <c r="T16" s="107">
        <v>454</v>
      </c>
      <c r="U16" s="65">
        <f>(T16-S16)*30</f>
        <v>1170</v>
      </c>
      <c r="W16" s="1"/>
    </row>
    <row r="17" spans="1:23" x14ac:dyDescent="0.25">
      <c r="A17" s="50" t="s">
        <v>20</v>
      </c>
      <c r="B17" s="122" t="s">
        <v>53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4"/>
      <c r="O17" s="52">
        <v>2014</v>
      </c>
      <c r="P17" s="53">
        <v>2024</v>
      </c>
      <c r="Q17" s="73">
        <v>3494785</v>
      </c>
      <c r="R17" s="77" t="s">
        <v>44</v>
      </c>
      <c r="S17" s="114">
        <v>541</v>
      </c>
      <c r="T17" s="107">
        <v>574</v>
      </c>
      <c r="U17" s="65">
        <f>(T17-S17)*30</f>
        <v>990</v>
      </c>
      <c r="W17" s="1"/>
    </row>
    <row r="18" spans="1:23" x14ac:dyDescent="0.25">
      <c r="A18" s="50" t="s">
        <v>20</v>
      </c>
      <c r="B18" s="122" t="s">
        <v>46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/>
      <c r="O18" s="51"/>
      <c r="P18" s="51"/>
      <c r="Q18" s="73">
        <v>3494756</v>
      </c>
      <c r="R18" s="51" t="s">
        <v>44</v>
      </c>
      <c r="S18" s="114">
        <v>2.46</v>
      </c>
      <c r="T18" s="107">
        <v>2.46</v>
      </c>
      <c r="U18" s="65">
        <f>(T18-S18)*30</f>
        <v>0</v>
      </c>
      <c r="W18" s="1"/>
    </row>
    <row r="19" spans="1:23" ht="19.5" customHeight="1" x14ac:dyDescent="0.25">
      <c r="A19" s="29" t="s">
        <v>21</v>
      </c>
      <c r="B19" s="29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3" ht="8.25" customHeight="1" x14ac:dyDescent="0.25">
      <c r="A20" s="29"/>
      <c r="B20" s="29"/>
      <c r="C20" s="67"/>
      <c r="D20" s="67"/>
      <c r="E20" s="67"/>
      <c r="F20" s="29"/>
      <c r="G20" s="29"/>
      <c r="H20" s="29"/>
      <c r="I20" s="30"/>
      <c r="J20" s="30"/>
      <c r="K20" s="30"/>
      <c r="L20" s="30"/>
      <c r="M20" s="30"/>
      <c r="N20" s="42"/>
      <c r="O20" s="30"/>
      <c r="P20" s="30"/>
      <c r="Q20" s="30"/>
      <c r="R20" s="30"/>
      <c r="S20" s="30"/>
      <c r="T20" s="30"/>
      <c r="U20" s="30"/>
    </row>
    <row r="21" spans="1:23" ht="18" customHeight="1" x14ac:dyDescent="0.25">
      <c r="A21" s="60" t="s">
        <v>26</v>
      </c>
      <c r="B21" s="61" t="s">
        <v>27</v>
      </c>
      <c r="C21" s="68">
        <f>U4+U5+U12+U13</f>
        <v>45200</v>
      </c>
      <c r="D21" s="61" t="s">
        <v>28</v>
      </c>
      <c r="E21" s="69">
        <f>(24108+14951+U16+U17)</f>
        <v>41219</v>
      </c>
      <c r="F21" s="61" t="s">
        <v>29</v>
      </c>
      <c r="G21" s="41" t="s">
        <v>61</v>
      </c>
      <c r="H21" s="61"/>
      <c r="I21" s="62"/>
      <c r="J21" s="61"/>
      <c r="K21" s="63"/>
      <c r="M21" s="40"/>
      <c r="N21" s="1"/>
      <c r="O21" s="45" t="s">
        <v>23</v>
      </c>
      <c r="P21" s="75">
        <f>(C21-E21)*3.37/11010.6</f>
        <v>1.2184594844967578</v>
      </c>
      <c r="Q21" s="46" t="s">
        <v>24</v>
      </c>
      <c r="R21" t="s">
        <v>59</v>
      </c>
      <c r="U21" s="1"/>
    </row>
    <row r="22" spans="1:23" ht="6.75" customHeight="1" x14ac:dyDescent="0.25">
      <c r="A22" s="60"/>
      <c r="B22" s="61"/>
      <c r="C22" s="83"/>
      <c r="D22" s="61"/>
      <c r="E22" s="82"/>
      <c r="F22" s="61"/>
      <c r="G22" s="41"/>
      <c r="H22" s="61"/>
      <c r="I22" s="62"/>
      <c r="J22" s="61"/>
      <c r="K22" s="63"/>
      <c r="M22" s="40"/>
      <c r="N22" s="1"/>
      <c r="O22" s="45"/>
      <c r="P22" s="75"/>
      <c r="Q22" s="46"/>
    </row>
    <row r="23" spans="1:23" ht="15" customHeight="1" x14ac:dyDescent="0.25">
      <c r="A23" s="31" t="s">
        <v>22</v>
      </c>
      <c r="B23" s="31"/>
      <c r="C23" s="31"/>
      <c r="D23" s="31"/>
      <c r="E23" s="31"/>
      <c r="F23" s="31"/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0"/>
    </row>
    <row r="24" spans="1:23" ht="13.5" customHeight="1" x14ac:dyDescent="0.25">
      <c r="A24" s="31" t="s">
        <v>55</v>
      </c>
      <c r="B24" s="31"/>
      <c r="C24" s="31"/>
      <c r="D24" s="31"/>
      <c r="E24" s="31"/>
      <c r="F24" s="31"/>
      <c r="G24" s="31"/>
      <c r="H24" s="31"/>
      <c r="I24" s="32"/>
      <c r="J24" s="32"/>
      <c r="K24" s="32"/>
      <c r="L24" s="32"/>
      <c r="M24" s="32"/>
      <c r="N24" s="32"/>
      <c r="O24" s="32"/>
      <c r="Q24" s="32"/>
      <c r="R24" s="32"/>
      <c r="T24" s="32"/>
      <c r="U24" s="30"/>
    </row>
    <row r="25" spans="1:23" ht="15.75" customHeight="1" x14ac:dyDescent="0.25">
      <c r="A25" s="130" t="s">
        <v>57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78"/>
      <c r="R25" s="78"/>
      <c r="S25" s="78"/>
      <c r="T25" s="78"/>
      <c r="U25" s="78"/>
    </row>
    <row r="26" spans="1:23" x14ac:dyDescent="0.25">
      <c r="A26" s="58"/>
      <c r="I26" s="59"/>
      <c r="J26" s="59"/>
      <c r="K26" s="30"/>
      <c r="L26" s="30"/>
      <c r="M26" s="30"/>
      <c r="N26" s="71"/>
      <c r="O26" s="30"/>
      <c r="P26" s="36"/>
      <c r="Q26" s="36"/>
      <c r="R26" s="36"/>
      <c r="S26" s="36"/>
      <c r="T26" s="36"/>
      <c r="U26" s="36"/>
    </row>
    <row r="27" spans="1:23" ht="15" customHeight="1" x14ac:dyDescent="0.25">
      <c r="A27" s="145" t="s">
        <v>21</v>
      </c>
      <c r="B27" s="145"/>
      <c r="C27" s="145"/>
      <c r="D27" s="145"/>
      <c r="E27" s="145"/>
      <c r="F27" s="145"/>
      <c r="G27" s="145"/>
      <c r="H27" s="92"/>
      <c r="I27" s="138" t="s">
        <v>73</v>
      </c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36"/>
    </row>
    <row r="28" spans="1:23" ht="30" x14ac:dyDescent="0.25">
      <c r="A28" s="91" t="s">
        <v>64</v>
      </c>
      <c r="B28" s="37"/>
      <c r="C28" s="146" t="s">
        <v>70</v>
      </c>
      <c r="D28" s="147"/>
      <c r="E28" s="148"/>
      <c r="F28" s="37"/>
      <c r="G28" s="37"/>
      <c r="H28" s="37"/>
      <c r="I28" s="142" t="s">
        <v>71</v>
      </c>
      <c r="J28" s="142"/>
      <c r="K28" s="142"/>
      <c r="L28" s="142"/>
      <c r="M28" s="30"/>
      <c r="N28" s="72"/>
      <c r="O28" s="72"/>
      <c r="P28" s="72"/>
      <c r="Q28" s="30"/>
      <c r="R28" s="30"/>
      <c r="S28" s="36"/>
      <c r="T28" s="36"/>
      <c r="U28" s="36"/>
    </row>
    <row r="29" spans="1:23" ht="30" x14ac:dyDescent="0.25">
      <c r="A29" s="87" t="s">
        <v>63</v>
      </c>
      <c r="B29" s="38"/>
      <c r="C29" s="149">
        <v>2.99</v>
      </c>
      <c r="D29" s="149"/>
      <c r="E29" s="149"/>
      <c r="F29" s="38"/>
      <c r="G29" s="38"/>
      <c r="H29" s="38"/>
      <c r="I29" s="93">
        <f>5.6</f>
        <v>5.6</v>
      </c>
      <c r="J29" s="29"/>
      <c r="K29" s="29"/>
      <c r="L29" s="29"/>
      <c r="M29" s="29"/>
      <c r="N29" s="72"/>
      <c r="O29" s="72"/>
      <c r="P29" s="72"/>
      <c r="Q29" s="38"/>
      <c r="R29" s="38"/>
      <c r="S29" s="38"/>
      <c r="T29" s="38"/>
      <c r="U29" s="39"/>
    </row>
    <row r="30" spans="1:23" x14ac:dyDescent="0.25">
      <c r="A30" s="88" t="s">
        <v>65</v>
      </c>
      <c r="C30" s="149">
        <v>1.58</v>
      </c>
      <c r="D30" s="149"/>
      <c r="E30" s="149"/>
      <c r="I30" s="33"/>
      <c r="J30" s="33"/>
      <c r="K30" s="33"/>
      <c r="L30" s="33"/>
      <c r="M30" s="33"/>
      <c r="N30" s="72"/>
      <c r="O30" s="72"/>
      <c r="P30" s="72"/>
    </row>
    <row r="31" spans="1:23" ht="20.25" x14ac:dyDescent="0.3">
      <c r="A31" s="88" t="s">
        <v>66</v>
      </c>
      <c r="C31" s="139">
        <v>0.56999999999999995</v>
      </c>
      <c r="D31" s="140"/>
      <c r="E31" s="141"/>
      <c r="I31" s="143" t="s">
        <v>72</v>
      </c>
      <c r="J31" s="143"/>
      <c r="K31" s="143"/>
      <c r="L31" s="143"/>
      <c r="M31" s="143"/>
      <c r="N31" s="143"/>
      <c r="O31" s="143"/>
      <c r="P31" s="72"/>
      <c r="S31" s="34"/>
    </row>
    <row r="32" spans="1:23" x14ac:dyDescent="0.25">
      <c r="A32" s="88" t="s">
        <v>67</v>
      </c>
      <c r="C32" s="139">
        <v>0.18</v>
      </c>
      <c r="D32" s="140"/>
      <c r="E32" s="141"/>
      <c r="I32" s="144">
        <v>4835.2</v>
      </c>
    </row>
    <row r="33" spans="1:21" x14ac:dyDescent="0.25">
      <c r="A33" s="88" t="s">
        <v>68</v>
      </c>
      <c r="C33" s="139">
        <v>0.1</v>
      </c>
      <c r="D33" s="140"/>
      <c r="E33" s="141"/>
      <c r="I33" s="144"/>
    </row>
    <row r="34" spans="1:21" ht="30" x14ac:dyDescent="0.25">
      <c r="A34" s="44" t="s">
        <v>69</v>
      </c>
      <c r="C34" s="139">
        <v>0.28000000000000003</v>
      </c>
      <c r="D34" s="140"/>
      <c r="E34" s="141"/>
    </row>
    <row r="35" spans="1:21" ht="15.75" thickBot="1" x14ac:dyDescent="0.3"/>
    <row r="36" spans="1:21" ht="15.75" thickBot="1" x14ac:dyDescent="0.3">
      <c r="P36" s="94">
        <f>(I29*I32)*3.37/11010.6</f>
        <v>8.2874588487457537</v>
      </c>
      <c r="Q36" s="89" t="s">
        <v>24</v>
      </c>
      <c r="R36" s="90" t="s">
        <v>59</v>
      </c>
      <c r="S36" s="90"/>
      <c r="T36" s="90"/>
      <c r="U36" s="90"/>
    </row>
  </sheetData>
  <mergeCells count="35">
    <mergeCell ref="I27:T27"/>
    <mergeCell ref="C32:E32"/>
    <mergeCell ref="C33:E33"/>
    <mergeCell ref="C34:E34"/>
    <mergeCell ref="I28:L28"/>
    <mergeCell ref="I31:O31"/>
    <mergeCell ref="I32:I33"/>
    <mergeCell ref="A27:G27"/>
    <mergeCell ref="C28:E28"/>
    <mergeCell ref="C29:E29"/>
    <mergeCell ref="C30:E30"/>
    <mergeCell ref="C31:E31"/>
    <mergeCell ref="A25:P25"/>
    <mergeCell ref="A1:U1"/>
    <mergeCell ref="A3:U3"/>
    <mergeCell ref="B5:I5"/>
    <mergeCell ref="B4:I4"/>
    <mergeCell ref="B13:I13"/>
    <mergeCell ref="B12:I12"/>
    <mergeCell ref="A11:U11"/>
    <mergeCell ref="B8:N8"/>
    <mergeCell ref="B6:N6"/>
    <mergeCell ref="B7:N7"/>
    <mergeCell ref="B18:N18"/>
    <mergeCell ref="B16:N16"/>
    <mergeCell ref="B15:N15"/>
    <mergeCell ref="B17:N17"/>
    <mergeCell ref="J5:N5"/>
    <mergeCell ref="B2:N2"/>
    <mergeCell ref="B14:N14"/>
    <mergeCell ref="J4:N4"/>
    <mergeCell ref="J13:N13"/>
    <mergeCell ref="J12:N12"/>
    <mergeCell ref="B9:N9"/>
    <mergeCell ref="B10:N10"/>
  </mergeCells>
  <pageMargins left="0.25" right="0.25" top="0.75" bottom="0.75" header="0.3" footer="0.3"/>
  <pageSetup paperSize="9" scale="88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topLeftCell="A4" workbookViewId="0">
      <selection activeCell="F17" sqref="F17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</cols>
  <sheetData>
    <row r="1" spans="1:6" x14ac:dyDescent="0.25">
      <c r="A1" s="151" t="s">
        <v>56</v>
      </c>
      <c r="B1" s="151"/>
      <c r="C1" s="151"/>
      <c r="D1" s="80" t="s">
        <v>88</v>
      </c>
      <c r="E1" s="111" t="s">
        <v>89</v>
      </c>
      <c r="F1" s="3"/>
    </row>
    <row r="2" spans="1:6" x14ac:dyDescent="0.25">
      <c r="A2" s="2"/>
      <c r="B2" s="3"/>
      <c r="C2" s="3"/>
      <c r="D2" s="3"/>
      <c r="E2" s="3"/>
      <c r="F2" s="3"/>
    </row>
    <row r="3" spans="1:6" ht="53.25" customHeight="1" x14ac:dyDescent="0.25">
      <c r="A3" s="4" t="s">
        <v>2</v>
      </c>
      <c r="B3" s="4" t="s">
        <v>3</v>
      </c>
      <c r="C3" s="4" t="s">
        <v>1</v>
      </c>
      <c r="D3" s="4" t="s">
        <v>4</v>
      </c>
      <c r="E3" s="4" t="s">
        <v>5</v>
      </c>
      <c r="F3" s="4" t="s">
        <v>6</v>
      </c>
    </row>
    <row r="4" spans="1:6" ht="16.5" customHeight="1" x14ac:dyDescent="0.25">
      <c r="A4" s="5"/>
      <c r="B4" s="6" t="s">
        <v>39</v>
      </c>
      <c r="C4" s="7"/>
      <c r="D4" s="96" t="s">
        <v>85</v>
      </c>
      <c r="E4" s="96" t="s">
        <v>91</v>
      </c>
      <c r="F4" s="49">
        <f>E4-D4</f>
        <v>1171</v>
      </c>
    </row>
    <row r="5" spans="1:6" x14ac:dyDescent="0.25">
      <c r="A5" s="152"/>
      <c r="B5" s="152"/>
      <c r="C5" s="152"/>
      <c r="D5" s="152"/>
      <c r="E5" s="152"/>
      <c r="F5" s="152"/>
    </row>
    <row r="6" spans="1:6" x14ac:dyDescent="0.25">
      <c r="A6" s="153"/>
      <c r="B6" s="153"/>
      <c r="C6" s="153"/>
      <c r="D6" s="153"/>
      <c r="E6" s="153"/>
      <c r="F6" s="153"/>
    </row>
    <row r="7" spans="1:6" x14ac:dyDescent="0.25">
      <c r="A7" s="12" t="s">
        <v>7</v>
      </c>
      <c r="B7" s="13"/>
      <c r="C7" s="13"/>
      <c r="D7" s="14"/>
      <c r="E7" s="14"/>
      <c r="F7" s="8">
        <v>1082</v>
      </c>
    </row>
    <row r="8" spans="1:6" x14ac:dyDescent="0.25">
      <c r="A8" s="12" t="s">
        <v>48</v>
      </c>
      <c r="B8" s="13"/>
      <c r="C8" s="13"/>
      <c r="D8" s="14"/>
      <c r="E8" s="14"/>
      <c r="F8" s="8">
        <v>93</v>
      </c>
    </row>
    <row r="9" spans="1:6" ht="13.5" customHeight="1" x14ac:dyDescent="0.25">
      <c r="A9" s="12" t="s">
        <v>8</v>
      </c>
      <c r="B9" s="13"/>
      <c r="C9" s="13"/>
      <c r="D9" s="14"/>
      <c r="E9" s="14"/>
      <c r="F9" s="15">
        <f>F4-F7-F8</f>
        <v>-4</v>
      </c>
    </row>
    <row r="10" spans="1:6" ht="21" x14ac:dyDescent="0.25">
      <c r="A10" s="9"/>
      <c r="B10" s="10"/>
      <c r="C10" s="10"/>
      <c r="D10" s="11"/>
      <c r="E10" s="11"/>
      <c r="F10" s="16"/>
    </row>
    <row r="11" spans="1:6" ht="81" customHeight="1" x14ac:dyDescent="0.25">
      <c r="A11" s="150" t="s">
        <v>9</v>
      </c>
      <c r="B11" s="150"/>
      <c r="C11" s="150"/>
      <c r="D11" s="150"/>
      <c r="E11" s="150"/>
      <c r="F11" s="17"/>
    </row>
    <row r="12" spans="1:6" ht="64.5" customHeight="1" x14ac:dyDescent="0.3">
      <c r="A12" s="150" t="s">
        <v>62</v>
      </c>
      <c r="B12" s="150"/>
      <c r="C12" s="150"/>
      <c r="D12" s="150"/>
      <c r="E12" s="150"/>
      <c r="F12" s="81">
        <f>88/11010.6*(22.93+27.48)</f>
        <v>0.40289175885056216</v>
      </c>
    </row>
    <row r="13" spans="1:6" ht="17.25" customHeight="1" x14ac:dyDescent="0.25"/>
    <row r="14" spans="1:6" ht="29.25" customHeight="1" x14ac:dyDescent="0.25">
      <c r="A14" s="154" t="s">
        <v>84</v>
      </c>
      <c r="B14" s="155"/>
      <c r="C14" s="98" t="s">
        <v>86</v>
      </c>
      <c r="D14" s="110" t="s">
        <v>93</v>
      </c>
      <c r="E14" s="113"/>
    </row>
    <row r="15" spans="1:6" x14ac:dyDescent="0.25">
      <c r="A15" s="86"/>
      <c r="B15" s="86"/>
      <c r="C15" s="97">
        <v>1187</v>
      </c>
      <c r="D15" s="109">
        <f>C15-88</f>
        <v>1099</v>
      </c>
      <c r="E15" s="109"/>
    </row>
  </sheetData>
  <mergeCells count="5">
    <mergeCell ref="A11:E11"/>
    <mergeCell ref="A12:E12"/>
    <mergeCell ref="A1:C1"/>
    <mergeCell ref="A5:F6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zoomScaleSheetLayoutView="100" workbookViewId="0">
      <selection activeCell="F7" sqref="F7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 x14ac:dyDescent="0.3">
      <c r="F1" s="24"/>
    </row>
    <row r="2" spans="1:6" ht="18.75" x14ac:dyDescent="0.3">
      <c r="A2" s="156" t="s">
        <v>10</v>
      </c>
      <c r="B2" s="156"/>
      <c r="C2" s="156"/>
      <c r="D2" s="156"/>
      <c r="E2" s="156"/>
      <c r="F2" s="156"/>
    </row>
    <row r="3" spans="1:6" ht="18.75" x14ac:dyDescent="0.3">
      <c r="A3" s="156" t="s">
        <v>92</v>
      </c>
      <c r="B3" s="156"/>
      <c r="C3" s="156"/>
      <c r="D3" s="156"/>
      <c r="E3" s="156"/>
      <c r="F3" s="156"/>
    </row>
    <row r="4" spans="1:6" ht="15.75" x14ac:dyDescent="0.25">
      <c r="A4" s="18"/>
      <c r="B4" s="19"/>
      <c r="C4" s="18"/>
      <c r="D4" s="18"/>
      <c r="E4" s="18"/>
    </row>
    <row r="5" spans="1:6" ht="47.25" x14ac:dyDescent="0.25">
      <c r="A5" s="20" t="s">
        <v>0</v>
      </c>
      <c r="B5" s="47" t="s">
        <v>11</v>
      </c>
      <c r="C5" s="21" t="s">
        <v>12</v>
      </c>
      <c r="D5" s="21" t="s">
        <v>31</v>
      </c>
      <c r="E5" s="21" t="s">
        <v>32</v>
      </c>
      <c r="F5" s="21" t="s">
        <v>33</v>
      </c>
    </row>
    <row r="6" spans="1:6" ht="48" customHeight="1" x14ac:dyDescent="0.25">
      <c r="A6" s="48">
        <v>32159</v>
      </c>
      <c r="B6" s="22" t="s">
        <v>13</v>
      </c>
      <c r="C6" s="95">
        <v>2126.86</v>
      </c>
      <c r="D6" s="76">
        <v>2385.15</v>
      </c>
      <c r="E6" s="76">
        <f>D6-C6</f>
        <v>258.28999999999996</v>
      </c>
      <c r="F6" s="76">
        <v>259.66000000000003</v>
      </c>
    </row>
    <row r="7" spans="1:6" ht="15.75" x14ac:dyDescent="0.25">
      <c r="A7" s="161" t="s">
        <v>54</v>
      </c>
      <c r="B7" s="161"/>
      <c r="C7" s="161"/>
      <c r="D7" s="161"/>
      <c r="E7" s="161"/>
      <c r="F7" s="19">
        <f>9105.7+1367.3+1904.9</f>
        <v>12377.9</v>
      </c>
    </row>
    <row r="8" spans="1:6" ht="10.5" customHeight="1" x14ac:dyDescent="0.25">
      <c r="A8" s="157"/>
      <c r="B8" s="157"/>
      <c r="C8" s="157"/>
      <c r="D8" s="157"/>
      <c r="E8" s="157"/>
      <c r="F8" s="157"/>
    </row>
    <row r="9" spans="1:6" ht="38.25" customHeight="1" x14ac:dyDescent="0.4">
      <c r="A9" s="158" t="s">
        <v>58</v>
      </c>
      <c r="B9" s="158"/>
      <c r="C9" s="158"/>
      <c r="D9" s="158"/>
      <c r="E9" s="158"/>
      <c r="F9" s="23">
        <f>(F6-(446.8+12)*101.56/1991.37)*1991.37/F7</f>
        <v>38.009953723975798</v>
      </c>
    </row>
    <row r="10" spans="1:6" x14ac:dyDescent="0.25">
      <c r="E10" s="84" t="s">
        <v>60</v>
      </c>
      <c r="F10" s="85">
        <f>(446.8+12)*101.56/1991.37</f>
        <v>23.398829951239602</v>
      </c>
    </row>
    <row r="11" spans="1:6" x14ac:dyDescent="0.25">
      <c r="A11" s="159"/>
      <c r="B11" s="159"/>
      <c r="C11" s="159"/>
      <c r="D11" s="38"/>
    </row>
    <row r="12" spans="1:6" x14ac:dyDescent="0.25">
      <c r="A12" s="79"/>
      <c r="B12" s="99"/>
      <c r="C12" s="160"/>
      <c r="D12" s="160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G9" sqref="G9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162" t="s">
        <v>90</v>
      </c>
      <c r="B1" s="163"/>
      <c r="C1" s="163"/>
      <c r="D1" s="163"/>
      <c r="E1" s="163"/>
      <c r="F1" s="163"/>
      <c r="G1" s="163"/>
      <c r="H1" s="163"/>
    </row>
    <row r="3" spans="1:9" ht="18.75" x14ac:dyDescent="0.3">
      <c r="A3" s="164" t="s">
        <v>78</v>
      </c>
      <c r="B3" s="164"/>
      <c r="C3" s="164"/>
      <c r="D3" s="164"/>
      <c r="E3" s="164"/>
      <c r="F3" s="24"/>
      <c r="G3" s="100">
        <f>'Сводный отчетЭЭ'!U16+'Сводный отчетЭЭ'!U17</f>
        <v>2160</v>
      </c>
    </row>
    <row r="4" spans="1:9" x14ac:dyDescent="0.25">
      <c r="A4" t="s">
        <v>79</v>
      </c>
      <c r="G4" s="100">
        <v>1</v>
      </c>
    </row>
    <row r="5" spans="1:9" x14ac:dyDescent="0.25">
      <c r="A5" t="s">
        <v>80</v>
      </c>
      <c r="G5" s="100">
        <v>0</v>
      </c>
    </row>
    <row r="6" spans="1:9" x14ac:dyDescent="0.25">
      <c r="A6" t="s">
        <v>82</v>
      </c>
      <c r="G6" s="101">
        <f>Отопление!F9*1904.9/86</f>
        <v>841.92047498606405</v>
      </c>
    </row>
    <row r="7" spans="1:9" x14ac:dyDescent="0.25">
      <c r="A7" t="s">
        <v>83</v>
      </c>
      <c r="G7" s="101">
        <f>(G3*3.37+G5*(22.93+27.48)+G4*525)*0.064</f>
        <v>499.46879999999999</v>
      </c>
    </row>
    <row r="9" spans="1:9" ht="21" x14ac:dyDescent="0.35">
      <c r="A9" t="s">
        <v>81</v>
      </c>
      <c r="G9" s="102">
        <f>(G3*3.37+G4*525+G5*(22.93+27.48)+G7)/86+G6+106.22*1367.3*0.064/4/86</f>
        <v>965.49515517211046</v>
      </c>
      <c r="H9" s="103"/>
      <c r="I9" s="103"/>
    </row>
  </sheetData>
  <mergeCells count="2">
    <mergeCell ref="A1:H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Сводный отчетЭЭ</vt:lpstr>
      <vt:lpstr>Сводный отчет вода</vt:lpstr>
      <vt:lpstr>Отопление</vt:lpstr>
      <vt:lpstr>Гараж</vt:lpstr>
      <vt:lpstr>Отопление!Область_печати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2016-11-30T11:20:44Z</cp:lastPrinted>
  <dcterms:created xsi:type="dcterms:W3CDTF">2015-09-15T11:53:49Z</dcterms:created>
  <dcterms:modified xsi:type="dcterms:W3CDTF">2017-01-19T15:29:19Z</dcterms:modified>
</cp:coreProperties>
</file>